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ow to use" sheetId="1" state="visible" r:id="rId1"/>
    <sheet name="Schedules" sheetId="2" state="visible" r:id="rId2"/>
    <sheet name="Journal entry" sheetId="3" state="visible" r:id="rId3"/>
    <sheet name="Asset register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,##0.00;(#,##0.00);&quot;-&quot;"/>
    <numFmt numFmtId="165" formatCode="0.0%"/>
    <numFmt numFmtId="166" formatCode="yyyy-mm-dd"/>
    <numFmt numFmtId="167" formatCode="d mmm yyyy"/>
  </numFmts>
  <fonts count="8">
    <font>
      <name val="Calibri"/>
      <family val="2"/>
      <color theme="1"/>
      <sz val="11"/>
      <scheme val="minor"/>
    </font>
    <font>
      <name val="Calibri"/>
      <b val="1"/>
      <color rgb="0026221B"/>
      <sz val="16"/>
    </font>
    <font>
      <name val="Calibri"/>
      <i val="1"/>
      <color rgb="006B645A"/>
      <sz val="10"/>
    </font>
    <font>
      <name val="Calibri"/>
      <color rgb="0026221B"/>
      <sz val="10"/>
    </font>
    <font>
      <name val="Calibri"/>
      <color rgb="001F4E9A"/>
      <sz val="10"/>
    </font>
    <font>
      <name val="Calibri"/>
      <b val="1"/>
      <color rgb="00FFFFFF"/>
      <sz val="10"/>
    </font>
    <font>
      <name val="Calibri"/>
      <b val="1"/>
      <color rgb="0026221B"/>
      <sz val="10"/>
    </font>
    <font>
      <name val="Calibri"/>
      <b val="1"/>
      <color rgb="00B04A50"/>
      <sz val="10"/>
    </font>
  </fonts>
  <fills count="4">
    <fill>
      <patternFill/>
    </fill>
    <fill>
      <patternFill patternType="gray125"/>
    </fill>
    <fill>
      <patternFill patternType="solid">
        <fgColor rgb="0026221B"/>
      </patternFill>
    </fill>
    <fill>
      <patternFill patternType="solid">
        <fgColor rgb="00E8DFD2"/>
      </patternFill>
    </fill>
  </fills>
  <borders count="2">
    <border>
      <left/>
      <right/>
      <top/>
      <bottom/>
      <diagonal/>
    </border>
    <border>
      <top style="thin">
        <color rgb="0026221B"/>
      </top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7" fillId="0" borderId="0" pivotButton="0" quotePrefix="0" xfId="0"/>
    <xf numFmtId="0" fontId="6" fillId="0" borderId="0" pivotButton="0" quotePrefix="0" xfId="0"/>
    <xf numFmtId="0" fontId="3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0" borderId="0" pivotButton="0" quotePrefix="0" xfId="0"/>
    <xf numFmtId="164" fontId="4" fillId="0" borderId="0" pivotButton="0" quotePrefix="0" xfId="0"/>
    <xf numFmtId="1" fontId="4" fillId="0" borderId="0" pivotButton="0" quotePrefix="0" xfId="0"/>
    <xf numFmtId="165" fontId="4" fillId="0" borderId="0" pivotButton="0" quotePrefix="0" xfId="0"/>
    <xf numFmtId="165" fontId="3" fillId="0" borderId="0" pivotButton="0" quotePrefix="0" xfId="0"/>
    <xf numFmtId="0" fontId="5" fillId="2" borderId="0" applyAlignment="1" pivotButton="0" quotePrefix="0" xfId="0">
      <alignment horizontal="left"/>
    </xf>
    <xf numFmtId="0" fontId="5" fillId="2" borderId="0" applyAlignment="1" pivotButton="0" quotePrefix="0" xfId="0">
      <alignment horizontal="right"/>
    </xf>
    <xf numFmtId="1" fontId="3" fillId="0" borderId="0" pivotButton="0" quotePrefix="0" xfId="0"/>
    <xf numFmtId="164" fontId="3" fillId="0" borderId="0" pivotButton="0" quotePrefix="0" xfId="0"/>
    <xf numFmtId="164" fontId="6" fillId="3" borderId="1" pivotButton="0" quotePrefix="0" xfId="0"/>
    <xf numFmtId="167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100" customWidth="1" min="2" max="2"/>
  </cols>
  <sheetData>
    <row r="1">
      <c r="A1" s="1" t="inlineStr">
        <is>
          <t>How to use this depreciation calculator</t>
        </is>
      </c>
    </row>
    <row r="2">
      <c r="A2" s="2" t="inlineStr">
        <is>
          <t>Free template from Excello (excelloservices.com). Example figures: replace the blue cells with your own.</t>
        </is>
      </c>
    </row>
    <row r="4">
      <c r="A4" s="3" t="inlineStr">
        <is>
          <t>Steps</t>
        </is>
      </c>
    </row>
    <row r="5">
      <c r="A5" s="4" t="n">
        <v>1</v>
      </c>
      <c r="B5" s="5" t="inlineStr">
        <is>
          <t>On the Schedules sheet, enter the asset's cost, salvage value (what you expect to sell it for at the end) and useful life in years.</t>
        </is>
      </c>
    </row>
    <row r="6">
      <c r="A6" s="4" t="n">
        <v>2</v>
      </c>
      <c r="B6" s="5" t="inlineStr">
        <is>
          <t>Set a reducing balance rate if you use that method. The double-declining rate is worked out for you as 2 / life.</t>
        </is>
      </c>
    </row>
    <row r="7">
      <c r="A7" s="4" t="n">
        <v>3</v>
      </c>
      <c r="B7" s="5" t="inlineStr">
        <is>
          <t>Compare the three schedules. Straight-line spreads the cost evenly; the other two take more in the early years.</t>
        </is>
      </c>
    </row>
    <row r="8">
      <c r="A8" s="4" t="n">
        <v>4</v>
      </c>
      <c r="B8" s="5" t="inlineStr">
        <is>
          <t>Post the monthly amount from the Journal entry sheet at each month-end close.</t>
        </is>
      </c>
    </row>
    <row r="9">
      <c r="A9" s="4" t="n">
        <v>5</v>
      </c>
      <c r="B9" s="5" t="inlineStr">
        <is>
          <t>Keep every asset on the Asset register sheet with the month it was first used, and set the report date to see book values.</t>
        </is>
      </c>
    </row>
    <row r="11">
      <c r="A11" s="3" t="inlineStr">
        <is>
          <t>Notes</t>
        </is>
      </c>
    </row>
    <row r="12">
      <c r="B12" s="5" t="inlineStr">
        <is>
          <t>Straight-line: (cost - salvage) / life. Reducing balance: opening book value x rate. Double-declining: opening book value x 2 / life, switching to straight-line when that is higher.</t>
        </is>
      </c>
    </row>
    <row r="13">
      <c r="B13" s="5" t="inlineStr">
        <is>
          <t>Book value never goes below salvage value. With reducing balance the asset can still be above salvage at the end of its life.</t>
        </is>
      </c>
    </row>
    <row r="14">
      <c r="B14" s="5" t="inlineStr">
        <is>
          <t>This is book depreciation for your accounts. Tax depreciation rules differ by country: check them, or ask your accountant.</t>
        </is>
      </c>
    </row>
    <row r="15">
      <c r="B15" s="5" t="inlineStr">
        <is>
          <t>Example figures are illustrative.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32"/>
  <sheetViews>
    <sheetView workbookViewId="0">
      <pane xSplit="1" ySplit="11" topLeftCell="B1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6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>
      <c r="A1" s="1" t="inlineStr">
        <is>
          <t>Depreciation schedules, three methods</t>
        </is>
      </c>
    </row>
    <row r="2">
      <c r="A2" s="2" t="inlineStr">
        <is>
          <t>Blue cells are inputs. Every schedule updates from them.</t>
        </is>
      </c>
    </row>
    <row r="4">
      <c r="A4" s="6" t="inlineStr">
        <is>
          <t>Asset</t>
        </is>
      </c>
      <c r="B4" s="7" t="inlineStr">
        <is>
          <t>Production equipment</t>
        </is>
      </c>
    </row>
    <row r="5">
      <c r="A5" s="6" t="inlineStr">
        <is>
          <t>Cost</t>
        </is>
      </c>
      <c r="B5" s="8" t="n">
        <v>50000</v>
      </c>
    </row>
    <row r="6">
      <c r="A6" s="6" t="inlineStr">
        <is>
          <t>Salvage value</t>
        </is>
      </c>
      <c r="B6" s="8" t="n">
        <v>5000</v>
      </c>
    </row>
    <row r="7">
      <c r="A7" s="6" t="inlineStr">
        <is>
          <t>Useful life (years, up to 20)</t>
        </is>
      </c>
      <c r="B7" s="9" t="n">
        <v>5</v>
      </c>
    </row>
    <row r="8">
      <c r="A8" s="6" t="inlineStr">
        <is>
          <t>Reducing balance rate</t>
        </is>
      </c>
      <c r="B8" s="10" t="n">
        <v>0.3</v>
      </c>
    </row>
    <row r="9">
      <c r="A9" s="6" t="inlineStr">
        <is>
          <t>Double-declining rate</t>
        </is>
      </c>
      <c r="B9" s="11">
        <f>2/B7</f>
        <v/>
      </c>
    </row>
    <row r="11">
      <c r="A11" s="12" t="inlineStr">
        <is>
          <t>Year</t>
        </is>
      </c>
      <c r="B11" s="13" t="inlineStr">
        <is>
          <t>SL opening</t>
        </is>
      </c>
      <c r="C11" s="13" t="inlineStr">
        <is>
          <t>SL depreciation</t>
        </is>
      </c>
      <c r="D11" s="13" t="inlineStr">
        <is>
          <t>SL closing</t>
        </is>
      </c>
      <c r="E11" s="13" t="inlineStr">
        <is>
          <t>RB opening</t>
        </is>
      </c>
      <c r="F11" s="13" t="inlineStr">
        <is>
          <t>RB depreciation</t>
        </is>
      </c>
      <c r="G11" s="13" t="inlineStr">
        <is>
          <t>RB closing</t>
        </is>
      </c>
      <c r="H11" s="13" t="inlineStr">
        <is>
          <t>DDB opening</t>
        </is>
      </c>
      <c r="I11" s="13" t="inlineStr">
        <is>
          <t>DDB depreciation</t>
        </is>
      </c>
      <c r="J11" s="13" t="inlineStr">
        <is>
          <t>DDB closing</t>
        </is>
      </c>
    </row>
    <row r="12">
      <c r="A12" s="14">
        <f>IF(1&lt;=$B$7,1,"")</f>
        <v/>
      </c>
      <c r="B12" s="15">
        <f>IF(1&lt;=$B$7,$B$5,"")</f>
        <v/>
      </c>
      <c r="C12" s="15">
        <f>IF(1&lt;=$B$7,($B$5-$B$6)/$B$7,"")</f>
        <v/>
      </c>
      <c r="D12" s="15">
        <f>IF(1&lt;=$B$7,B12-C12,"")</f>
        <v/>
      </c>
      <c r="E12" s="15">
        <f>IF(1&lt;=$B$7,$B$5,"")</f>
        <v/>
      </c>
      <c r="F12" s="15">
        <f>IF(1&lt;=$B$7,MIN(E12*$B$8,MAX(E12-$B$6,0)),"")</f>
        <v/>
      </c>
      <c r="G12" s="15">
        <f>IF(1&lt;=$B$7,E12-F12,"")</f>
        <v/>
      </c>
      <c r="H12" s="15">
        <f>IF(1&lt;=$B$7,$B$5,"")</f>
        <v/>
      </c>
      <c r="I12" s="15">
        <f>IF(1&lt;=$B$7,MIN(MAX(H12*$B$9,(H12-$B$6)/($B$7-1+1)),MAX(H12-$B$6,0)),"")</f>
        <v/>
      </c>
      <c r="J12" s="15">
        <f>IF(1&lt;=$B$7,H12-I12,"")</f>
        <v/>
      </c>
    </row>
    <row r="13">
      <c r="A13" s="14">
        <f>IF(2&lt;=$B$7,2,"")</f>
        <v/>
      </c>
      <c r="B13" s="15">
        <f>IF(2&lt;=$B$7,D12,"")</f>
        <v/>
      </c>
      <c r="C13" s="15">
        <f>IF(2&lt;=$B$7,($B$5-$B$6)/$B$7,"")</f>
        <v/>
      </c>
      <c r="D13" s="15">
        <f>IF(2&lt;=$B$7,B13-C13,"")</f>
        <v/>
      </c>
      <c r="E13" s="15">
        <f>IF(2&lt;=$B$7,G12,"")</f>
        <v/>
      </c>
      <c r="F13" s="15">
        <f>IF(2&lt;=$B$7,MIN(E13*$B$8,MAX(E13-$B$6,0)),"")</f>
        <v/>
      </c>
      <c r="G13" s="15">
        <f>IF(2&lt;=$B$7,E13-F13,"")</f>
        <v/>
      </c>
      <c r="H13" s="15">
        <f>IF(2&lt;=$B$7,J12,"")</f>
        <v/>
      </c>
      <c r="I13" s="15">
        <f>IF(2&lt;=$B$7,MIN(MAX(H13*$B$9,(H13-$B$6)/($B$7-2+1)),MAX(H13-$B$6,0)),"")</f>
        <v/>
      </c>
      <c r="J13" s="15">
        <f>IF(2&lt;=$B$7,H13-I13,"")</f>
        <v/>
      </c>
    </row>
    <row r="14">
      <c r="A14" s="14">
        <f>IF(3&lt;=$B$7,3,"")</f>
        <v/>
      </c>
      <c r="B14" s="15">
        <f>IF(3&lt;=$B$7,D13,"")</f>
        <v/>
      </c>
      <c r="C14" s="15">
        <f>IF(3&lt;=$B$7,($B$5-$B$6)/$B$7,"")</f>
        <v/>
      </c>
      <c r="D14" s="15">
        <f>IF(3&lt;=$B$7,B14-C14,"")</f>
        <v/>
      </c>
      <c r="E14" s="15">
        <f>IF(3&lt;=$B$7,G13,"")</f>
        <v/>
      </c>
      <c r="F14" s="15">
        <f>IF(3&lt;=$B$7,MIN(E14*$B$8,MAX(E14-$B$6,0)),"")</f>
        <v/>
      </c>
      <c r="G14" s="15">
        <f>IF(3&lt;=$B$7,E14-F14,"")</f>
        <v/>
      </c>
      <c r="H14" s="15">
        <f>IF(3&lt;=$B$7,J13,"")</f>
        <v/>
      </c>
      <c r="I14" s="15">
        <f>IF(3&lt;=$B$7,MIN(MAX(H14*$B$9,(H14-$B$6)/($B$7-3+1)),MAX(H14-$B$6,0)),"")</f>
        <v/>
      </c>
      <c r="J14" s="15">
        <f>IF(3&lt;=$B$7,H14-I14,"")</f>
        <v/>
      </c>
    </row>
    <row r="15">
      <c r="A15" s="14">
        <f>IF(4&lt;=$B$7,4,"")</f>
        <v/>
      </c>
      <c r="B15" s="15">
        <f>IF(4&lt;=$B$7,D14,"")</f>
        <v/>
      </c>
      <c r="C15" s="15">
        <f>IF(4&lt;=$B$7,($B$5-$B$6)/$B$7,"")</f>
        <v/>
      </c>
      <c r="D15" s="15">
        <f>IF(4&lt;=$B$7,B15-C15,"")</f>
        <v/>
      </c>
      <c r="E15" s="15">
        <f>IF(4&lt;=$B$7,G14,"")</f>
        <v/>
      </c>
      <c r="F15" s="15">
        <f>IF(4&lt;=$B$7,MIN(E15*$B$8,MAX(E15-$B$6,0)),"")</f>
        <v/>
      </c>
      <c r="G15" s="15">
        <f>IF(4&lt;=$B$7,E15-F15,"")</f>
        <v/>
      </c>
      <c r="H15" s="15">
        <f>IF(4&lt;=$B$7,J14,"")</f>
        <v/>
      </c>
      <c r="I15" s="15">
        <f>IF(4&lt;=$B$7,MIN(MAX(H15*$B$9,(H15-$B$6)/($B$7-4+1)),MAX(H15-$B$6,0)),"")</f>
        <v/>
      </c>
      <c r="J15" s="15">
        <f>IF(4&lt;=$B$7,H15-I15,"")</f>
        <v/>
      </c>
    </row>
    <row r="16">
      <c r="A16" s="14">
        <f>IF(5&lt;=$B$7,5,"")</f>
        <v/>
      </c>
      <c r="B16" s="15">
        <f>IF(5&lt;=$B$7,D15,"")</f>
        <v/>
      </c>
      <c r="C16" s="15">
        <f>IF(5&lt;=$B$7,($B$5-$B$6)/$B$7,"")</f>
        <v/>
      </c>
      <c r="D16" s="15">
        <f>IF(5&lt;=$B$7,B16-C16,"")</f>
        <v/>
      </c>
      <c r="E16" s="15">
        <f>IF(5&lt;=$B$7,G15,"")</f>
        <v/>
      </c>
      <c r="F16" s="15">
        <f>IF(5&lt;=$B$7,MIN(E16*$B$8,MAX(E16-$B$6,0)),"")</f>
        <v/>
      </c>
      <c r="G16" s="15">
        <f>IF(5&lt;=$B$7,E16-F16,"")</f>
        <v/>
      </c>
      <c r="H16" s="15">
        <f>IF(5&lt;=$B$7,J15,"")</f>
        <v/>
      </c>
      <c r="I16" s="15">
        <f>IF(5&lt;=$B$7,MIN(MAX(H16*$B$9,(H16-$B$6)/($B$7-5+1)),MAX(H16-$B$6,0)),"")</f>
        <v/>
      </c>
      <c r="J16" s="15">
        <f>IF(5&lt;=$B$7,H16-I16,"")</f>
        <v/>
      </c>
    </row>
    <row r="17">
      <c r="A17" s="14">
        <f>IF(6&lt;=$B$7,6,"")</f>
        <v/>
      </c>
      <c r="B17" s="15">
        <f>IF(6&lt;=$B$7,D16,"")</f>
        <v/>
      </c>
      <c r="C17" s="15">
        <f>IF(6&lt;=$B$7,($B$5-$B$6)/$B$7,"")</f>
        <v/>
      </c>
      <c r="D17" s="15">
        <f>IF(6&lt;=$B$7,B17-C17,"")</f>
        <v/>
      </c>
      <c r="E17" s="15">
        <f>IF(6&lt;=$B$7,G16,"")</f>
        <v/>
      </c>
      <c r="F17" s="15">
        <f>IF(6&lt;=$B$7,MIN(E17*$B$8,MAX(E17-$B$6,0)),"")</f>
        <v/>
      </c>
      <c r="G17" s="15">
        <f>IF(6&lt;=$B$7,E17-F17,"")</f>
        <v/>
      </c>
      <c r="H17" s="15">
        <f>IF(6&lt;=$B$7,J16,"")</f>
        <v/>
      </c>
      <c r="I17" s="15">
        <f>IF(6&lt;=$B$7,MIN(MAX(H17*$B$9,(H17-$B$6)/($B$7-6+1)),MAX(H17-$B$6,0)),"")</f>
        <v/>
      </c>
      <c r="J17" s="15">
        <f>IF(6&lt;=$B$7,H17-I17,"")</f>
        <v/>
      </c>
    </row>
    <row r="18">
      <c r="A18" s="14">
        <f>IF(7&lt;=$B$7,7,"")</f>
        <v/>
      </c>
      <c r="B18" s="15">
        <f>IF(7&lt;=$B$7,D17,"")</f>
        <v/>
      </c>
      <c r="C18" s="15">
        <f>IF(7&lt;=$B$7,($B$5-$B$6)/$B$7,"")</f>
        <v/>
      </c>
      <c r="D18" s="15">
        <f>IF(7&lt;=$B$7,B18-C18,"")</f>
        <v/>
      </c>
      <c r="E18" s="15">
        <f>IF(7&lt;=$B$7,G17,"")</f>
        <v/>
      </c>
      <c r="F18" s="15">
        <f>IF(7&lt;=$B$7,MIN(E18*$B$8,MAX(E18-$B$6,0)),"")</f>
        <v/>
      </c>
      <c r="G18" s="15">
        <f>IF(7&lt;=$B$7,E18-F18,"")</f>
        <v/>
      </c>
      <c r="H18" s="15">
        <f>IF(7&lt;=$B$7,J17,"")</f>
        <v/>
      </c>
      <c r="I18" s="15">
        <f>IF(7&lt;=$B$7,MIN(MAX(H18*$B$9,(H18-$B$6)/($B$7-7+1)),MAX(H18-$B$6,0)),"")</f>
        <v/>
      </c>
      <c r="J18" s="15">
        <f>IF(7&lt;=$B$7,H18-I18,"")</f>
        <v/>
      </c>
    </row>
    <row r="19">
      <c r="A19" s="14">
        <f>IF(8&lt;=$B$7,8,"")</f>
        <v/>
      </c>
      <c r="B19" s="15">
        <f>IF(8&lt;=$B$7,D18,"")</f>
        <v/>
      </c>
      <c r="C19" s="15">
        <f>IF(8&lt;=$B$7,($B$5-$B$6)/$B$7,"")</f>
        <v/>
      </c>
      <c r="D19" s="15">
        <f>IF(8&lt;=$B$7,B19-C19,"")</f>
        <v/>
      </c>
      <c r="E19" s="15">
        <f>IF(8&lt;=$B$7,G18,"")</f>
        <v/>
      </c>
      <c r="F19" s="15">
        <f>IF(8&lt;=$B$7,MIN(E19*$B$8,MAX(E19-$B$6,0)),"")</f>
        <v/>
      </c>
      <c r="G19" s="15">
        <f>IF(8&lt;=$B$7,E19-F19,"")</f>
        <v/>
      </c>
      <c r="H19" s="15">
        <f>IF(8&lt;=$B$7,J18,"")</f>
        <v/>
      </c>
      <c r="I19" s="15">
        <f>IF(8&lt;=$B$7,MIN(MAX(H19*$B$9,(H19-$B$6)/($B$7-8+1)),MAX(H19-$B$6,0)),"")</f>
        <v/>
      </c>
      <c r="J19" s="15">
        <f>IF(8&lt;=$B$7,H19-I19,"")</f>
        <v/>
      </c>
    </row>
    <row r="20">
      <c r="A20" s="14">
        <f>IF(9&lt;=$B$7,9,"")</f>
        <v/>
      </c>
      <c r="B20" s="15">
        <f>IF(9&lt;=$B$7,D19,"")</f>
        <v/>
      </c>
      <c r="C20" s="15">
        <f>IF(9&lt;=$B$7,($B$5-$B$6)/$B$7,"")</f>
        <v/>
      </c>
      <c r="D20" s="15">
        <f>IF(9&lt;=$B$7,B20-C20,"")</f>
        <v/>
      </c>
      <c r="E20" s="15">
        <f>IF(9&lt;=$B$7,G19,"")</f>
        <v/>
      </c>
      <c r="F20" s="15">
        <f>IF(9&lt;=$B$7,MIN(E20*$B$8,MAX(E20-$B$6,0)),"")</f>
        <v/>
      </c>
      <c r="G20" s="15">
        <f>IF(9&lt;=$B$7,E20-F20,"")</f>
        <v/>
      </c>
      <c r="H20" s="15">
        <f>IF(9&lt;=$B$7,J19,"")</f>
        <v/>
      </c>
      <c r="I20" s="15">
        <f>IF(9&lt;=$B$7,MIN(MAX(H20*$B$9,(H20-$B$6)/($B$7-9+1)),MAX(H20-$B$6,0)),"")</f>
        <v/>
      </c>
      <c r="J20" s="15">
        <f>IF(9&lt;=$B$7,H20-I20,"")</f>
        <v/>
      </c>
    </row>
    <row r="21">
      <c r="A21" s="14">
        <f>IF(10&lt;=$B$7,10,"")</f>
        <v/>
      </c>
      <c r="B21" s="15">
        <f>IF(10&lt;=$B$7,D20,"")</f>
        <v/>
      </c>
      <c r="C21" s="15">
        <f>IF(10&lt;=$B$7,($B$5-$B$6)/$B$7,"")</f>
        <v/>
      </c>
      <c r="D21" s="15">
        <f>IF(10&lt;=$B$7,B21-C21,"")</f>
        <v/>
      </c>
      <c r="E21" s="15">
        <f>IF(10&lt;=$B$7,G20,"")</f>
        <v/>
      </c>
      <c r="F21" s="15">
        <f>IF(10&lt;=$B$7,MIN(E21*$B$8,MAX(E21-$B$6,0)),"")</f>
        <v/>
      </c>
      <c r="G21" s="15">
        <f>IF(10&lt;=$B$7,E21-F21,"")</f>
        <v/>
      </c>
      <c r="H21" s="15">
        <f>IF(10&lt;=$B$7,J20,"")</f>
        <v/>
      </c>
      <c r="I21" s="15">
        <f>IF(10&lt;=$B$7,MIN(MAX(H21*$B$9,(H21-$B$6)/($B$7-10+1)),MAX(H21-$B$6,0)),"")</f>
        <v/>
      </c>
      <c r="J21" s="15">
        <f>IF(10&lt;=$B$7,H21-I21,"")</f>
        <v/>
      </c>
    </row>
    <row r="22">
      <c r="A22" s="14">
        <f>IF(11&lt;=$B$7,11,"")</f>
        <v/>
      </c>
      <c r="B22" s="15">
        <f>IF(11&lt;=$B$7,D21,"")</f>
        <v/>
      </c>
      <c r="C22" s="15">
        <f>IF(11&lt;=$B$7,($B$5-$B$6)/$B$7,"")</f>
        <v/>
      </c>
      <c r="D22" s="15">
        <f>IF(11&lt;=$B$7,B22-C22,"")</f>
        <v/>
      </c>
      <c r="E22" s="15">
        <f>IF(11&lt;=$B$7,G21,"")</f>
        <v/>
      </c>
      <c r="F22" s="15">
        <f>IF(11&lt;=$B$7,MIN(E22*$B$8,MAX(E22-$B$6,0)),"")</f>
        <v/>
      </c>
      <c r="G22" s="15">
        <f>IF(11&lt;=$B$7,E22-F22,"")</f>
        <v/>
      </c>
      <c r="H22" s="15">
        <f>IF(11&lt;=$B$7,J21,"")</f>
        <v/>
      </c>
      <c r="I22" s="15">
        <f>IF(11&lt;=$B$7,MIN(MAX(H22*$B$9,(H22-$B$6)/($B$7-11+1)),MAX(H22-$B$6,0)),"")</f>
        <v/>
      </c>
      <c r="J22" s="15">
        <f>IF(11&lt;=$B$7,H22-I22,"")</f>
        <v/>
      </c>
    </row>
    <row r="23">
      <c r="A23" s="14">
        <f>IF(12&lt;=$B$7,12,"")</f>
        <v/>
      </c>
      <c r="B23" s="15">
        <f>IF(12&lt;=$B$7,D22,"")</f>
        <v/>
      </c>
      <c r="C23" s="15">
        <f>IF(12&lt;=$B$7,($B$5-$B$6)/$B$7,"")</f>
        <v/>
      </c>
      <c r="D23" s="15">
        <f>IF(12&lt;=$B$7,B23-C23,"")</f>
        <v/>
      </c>
      <c r="E23" s="15">
        <f>IF(12&lt;=$B$7,G22,"")</f>
        <v/>
      </c>
      <c r="F23" s="15">
        <f>IF(12&lt;=$B$7,MIN(E23*$B$8,MAX(E23-$B$6,0)),"")</f>
        <v/>
      </c>
      <c r="G23" s="15">
        <f>IF(12&lt;=$B$7,E23-F23,"")</f>
        <v/>
      </c>
      <c r="H23" s="15">
        <f>IF(12&lt;=$B$7,J22,"")</f>
        <v/>
      </c>
      <c r="I23" s="15">
        <f>IF(12&lt;=$B$7,MIN(MAX(H23*$B$9,(H23-$B$6)/($B$7-12+1)),MAX(H23-$B$6,0)),"")</f>
        <v/>
      </c>
      <c r="J23" s="15">
        <f>IF(12&lt;=$B$7,H23-I23,"")</f>
        <v/>
      </c>
    </row>
    <row r="24">
      <c r="A24" s="14">
        <f>IF(13&lt;=$B$7,13,"")</f>
        <v/>
      </c>
      <c r="B24" s="15">
        <f>IF(13&lt;=$B$7,D23,"")</f>
        <v/>
      </c>
      <c r="C24" s="15">
        <f>IF(13&lt;=$B$7,($B$5-$B$6)/$B$7,"")</f>
        <v/>
      </c>
      <c r="D24" s="15">
        <f>IF(13&lt;=$B$7,B24-C24,"")</f>
        <v/>
      </c>
      <c r="E24" s="15">
        <f>IF(13&lt;=$B$7,G23,"")</f>
        <v/>
      </c>
      <c r="F24" s="15">
        <f>IF(13&lt;=$B$7,MIN(E24*$B$8,MAX(E24-$B$6,0)),"")</f>
        <v/>
      </c>
      <c r="G24" s="15">
        <f>IF(13&lt;=$B$7,E24-F24,"")</f>
        <v/>
      </c>
      <c r="H24" s="15">
        <f>IF(13&lt;=$B$7,J23,"")</f>
        <v/>
      </c>
      <c r="I24" s="15">
        <f>IF(13&lt;=$B$7,MIN(MAX(H24*$B$9,(H24-$B$6)/($B$7-13+1)),MAX(H24-$B$6,0)),"")</f>
        <v/>
      </c>
      <c r="J24" s="15">
        <f>IF(13&lt;=$B$7,H24-I24,"")</f>
        <v/>
      </c>
    </row>
    <row r="25">
      <c r="A25" s="14">
        <f>IF(14&lt;=$B$7,14,"")</f>
        <v/>
      </c>
      <c r="B25" s="15">
        <f>IF(14&lt;=$B$7,D24,"")</f>
        <v/>
      </c>
      <c r="C25" s="15">
        <f>IF(14&lt;=$B$7,($B$5-$B$6)/$B$7,"")</f>
        <v/>
      </c>
      <c r="D25" s="15">
        <f>IF(14&lt;=$B$7,B25-C25,"")</f>
        <v/>
      </c>
      <c r="E25" s="15">
        <f>IF(14&lt;=$B$7,G24,"")</f>
        <v/>
      </c>
      <c r="F25" s="15">
        <f>IF(14&lt;=$B$7,MIN(E25*$B$8,MAX(E25-$B$6,0)),"")</f>
        <v/>
      </c>
      <c r="G25" s="15">
        <f>IF(14&lt;=$B$7,E25-F25,"")</f>
        <v/>
      </c>
      <c r="H25" s="15">
        <f>IF(14&lt;=$B$7,J24,"")</f>
        <v/>
      </c>
      <c r="I25" s="15">
        <f>IF(14&lt;=$B$7,MIN(MAX(H25*$B$9,(H25-$B$6)/($B$7-14+1)),MAX(H25-$B$6,0)),"")</f>
        <v/>
      </c>
      <c r="J25" s="15">
        <f>IF(14&lt;=$B$7,H25-I25,"")</f>
        <v/>
      </c>
    </row>
    <row r="26">
      <c r="A26" s="14">
        <f>IF(15&lt;=$B$7,15,"")</f>
        <v/>
      </c>
      <c r="B26" s="15">
        <f>IF(15&lt;=$B$7,D25,"")</f>
        <v/>
      </c>
      <c r="C26" s="15">
        <f>IF(15&lt;=$B$7,($B$5-$B$6)/$B$7,"")</f>
        <v/>
      </c>
      <c r="D26" s="15">
        <f>IF(15&lt;=$B$7,B26-C26,"")</f>
        <v/>
      </c>
      <c r="E26" s="15">
        <f>IF(15&lt;=$B$7,G25,"")</f>
        <v/>
      </c>
      <c r="F26" s="15">
        <f>IF(15&lt;=$B$7,MIN(E26*$B$8,MAX(E26-$B$6,0)),"")</f>
        <v/>
      </c>
      <c r="G26" s="15">
        <f>IF(15&lt;=$B$7,E26-F26,"")</f>
        <v/>
      </c>
      <c r="H26" s="15">
        <f>IF(15&lt;=$B$7,J25,"")</f>
        <v/>
      </c>
      <c r="I26" s="15">
        <f>IF(15&lt;=$B$7,MIN(MAX(H26*$B$9,(H26-$B$6)/($B$7-15+1)),MAX(H26-$B$6,0)),"")</f>
        <v/>
      </c>
      <c r="J26" s="15">
        <f>IF(15&lt;=$B$7,H26-I26,"")</f>
        <v/>
      </c>
    </row>
    <row r="27">
      <c r="A27" s="14">
        <f>IF(16&lt;=$B$7,16,"")</f>
        <v/>
      </c>
      <c r="B27" s="15">
        <f>IF(16&lt;=$B$7,D26,"")</f>
        <v/>
      </c>
      <c r="C27" s="15">
        <f>IF(16&lt;=$B$7,($B$5-$B$6)/$B$7,"")</f>
        <v/>
      </c>
      <c r="D27" s="15">
        <f>IF(16&lt;=$B$7,B27-C27,"")</f>
        <v/>
      </c>
      <c r="E27" s="15">
        <f>IF(16&lt;=$B$7,G26,"")</f>
        <v/>
      </c>
      <c r="F27" s="15">
        <f>IF(16&lt;=$B$7,MIN(E27*$B$8,MAX(E27-$B$6,0)),"")</f>
        <v/>
      </c>
      <c r="G27" s="15">
        <f>IF(16&lt;=$B$7,E27-F27,"")</f>
        <v/>
      </c>
      <c r="H27" s="15">
        <f>IF(16&lt;=$B$7,J26,"")</f>
        <v/>
      </c>
      <c r="I27" s="15">
        <f>IF(16&lt;=$B$7,MIN(MAX(H27*$B$9,(H27-$B$6)/($B$7-16+1)),MAX(H27-$B$6,0)),"")</f>
        <v/>
      </c>
      <c r="J27" s="15">
        <f>IF(16&lt;=$B$7,H27-I27,"")</f>
        <v/>
      </c>
    </row>
    <row r="28">
      <c r="A28" s="14">
        <f>IF(17&lt;=$B$7,17,"")</f>
        <v/>
      </c>
      <c r="B28" s="15">
        <f>IF(17&lt;=$B$7,D27,"")</f>
        <v/>
      </c>
      <c r="C28" s="15">
        <f>IF(17&lt;=$B$7,($B$5-$B$6)/$B$7,"")</f>
        <v/>
      </c>
      <c r="D28" s="15">
        <f>IF(17&lt;=$B$7,B28-C28,"")</f>
        <v/>
      </c>
      <c r="E28" s="15">
        <f>IF(17&lt;=$B$7,G27,"")</f>
        <v/>
      </c>
      <c r="F28" s="15">
        <f>IF(17&lt;=$B$7,MIN(E28*$B$8,MAX(E28-$B$6,0)),"")</f>
        <v/>
      </c>
      <c r="G28" s="15">
        <f>IF(17&lt;=$B$7,E28-F28,"")</f>
        <v/>
      </c>
      <c r="H28" s="15">
        <f>IF(17&lt;=$B$7,J27,"")</f>
        <v/>
      </c>
      <c r="I28" s="15">
        <f>IF(17&lt;=$B$7,MIN(MAX(H28*$B$9,(H28-$B$6)/($B$7-17+1)),MAX(H28-$B$6,0)),"")</f>
        <v/>
      </c>
      <c r="J28" s="15">
        <f>IF(17&lt;=$B$7,H28-I28,"")</f>
        <v/>
      </c>
    </row>
    <row r="29">
      <c r="A29" s="14">
        <f>IF(18&lt;=$B$7,18,"")</f>
        <v/>
      </c>
      <c r="B29" s="15">
        <f>IF(18&lt;=$B$7,D28,"")</f>
        <v/>
      </c>
      <c r="C29" s="15">
        <f>IF(18&lt;=$B$7,($B$5-$B$6)/$B$7,"")</f>
        <v/>
      </c>
      <c r="D29" s="15">
        <f>IF(18&lt;=$B$7,B29-C29,"")</f>
        <v/>
      </c>
      <c r="E29" s="15">
        <f>IF(18&lt;=$B$7,G28,"")</f>
        <v/>
      </c>
      <c r="F29" s="15">
        <f>IF(18&lt;=$B$7,MIN(E29*$B$8,MAX(E29-$B$6,0)),"")</f>
        <v/>
      </c>
      <c r="G29" s="15">
        <f>IF(18&lt;=$B$7,E29-F29,"")</f>
        <v/>
      </c>
      <c r="H29" s="15">
        <f>IF(18&lt;=$B$7,J28,"")</f>
        <v/>
      </c>
      <c r="I29" s="15">
        <f>IF(18&lt;=$B$7,MIN(MAX(H29*$B$9,(H29-$B$6)/($B$7-18+1)),MAX(H29-$B$6,0)),"")</f>
        <v/>
      </c>
      <c r="J29" s="15">
        <f>IF(18&lt;=$B$7,H29-I29,"")</f>
        <v/>
      </c>
    </row>
    <row r="30">
      <c r="A30" s="14">
        <f>IF(19&lt;=$B$7,19,"")</f>
        <v/>
      </c>
      <c r="B30" s="15">
        <f>IF(19&lt;=$B$7,D29,"")</f>
        <v/>
      </c>
      <c r="C30" s="15">
        <f>IF(19&lt;=$B$7,($B$5-$B$6)/$B$7,"")</f>
        <v/>
      </c>
      <c r="D30" s="15">
        <f>IF(19&lt;=$B$7,B30-C30,"")</f>
        <v/>
      </c>
      <c r="E30" s="15">
        <f>IF(19&lt;=$B$7,G29,"")</f>
        <v/>
      </c>
      <c r="F30" s="15">
        <f>IF(19&lt;=$B$7,MIN(E30*$B$8,MAX(E30-$B$6,0)),"")</f>
        <v/>
      </c>
      <c r="G30" s="15">
        <f>IF(19&lt;=$B$7,E30-F30,"")</f>
        <v/>
      </c>
      <c r="H30" s="15">
        <f>IF(19&lt;=$B$7,J29,"")</f>
        <v/>
      </c>
      <c r="I30" s="15">
        <f>IF(19&lt;=$B$7,MIN(MAX(H30*$B$9,(H30-$B$6)/($B$7-19+1)),MAX(H30-$B$6,0)),"")</f>
        <v/>
      </c>
      <c r="J30" s="15">
        <f>IF(19&lt;=$B$7,H30-I30,"")</f>
        <v/>
      </c>
    </row>
    <row r="31">
      <c r="A31" s="14">
        <f>IF(20&lt;=$B$7,20,"")</f>
        <v/>
      </c>
      <c r="B31" s="15">
        <f>IF(20&lt;=$B$7,D30,"")</f>
        <v/>
      </c>
      <c r="C31" s="15">
        <f>IF(20&lt;=$B$7,($B$5-$B$6)/$B$7,"")</f>
        <v/>
      </c>
      <c r="D31" s="15">
        <f>IF(20&lt;=$B$7,B31-C31,"")</f>
        <v/>
      </c>
      <c r="E31" s="15">
        <f>IF(20&lt;=$B$7,G30,"")</f>
        <v/>
      </c>
      <c r="F31" s="15">
        <f>IF(20&lt;=$B$7,MIN(E31*$B$8,MAX(E31-$B$6,0)),"")</f>
        <v/>
      </c>
      <c r="G31" s="15">
        <f>IF(20&lt;=$B$7,E31-F31,"")</f>
        <v/>
      </c>
      <c r="H31" s="15">
        <f>IF(20&lt;=$B$7,J30,"")</f>
        <v/>
      </c>
      <c r="I31" s="15">
        <f>IF(20&lt;=$B$7,MIN(MAX(H31*$B$9,(H31-$B$6)/($B$7-20+1)),MAX(H31-$B$6,0)),"")</f>
        <v/>
      </c>
      <c r="J31" s="15">
        <f>IF(20&lt;=$B$7,H31-I31,"")</f>
        <v/>
      </c>
    </row>
    <row r="32">
      <c r="A32" s="4" t="inlineStr">
        <is>
          <t>Total depreciation</t>
        </is>
      </c>
      <c r="C32" s="16">
        <f>SUM(C12:C31)</f>
        <v/>
      </c>
      <c r="F32" s="16">
        <f>SUM(F12:F31)</f>
        <v/>
      </c>
      <c r="I32" s="16">
        <f>SUM(I12:I31)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44" customWidth="1" min="1" max="1"/>
    <col width="14" customWidth="1" min="2" max="2"/>
    <col width="14" customWidth="1" min="3" max="3"/>
  </cols>
  <sheetData>
    <row r="1">
      <c r="A1" s="1" t="inlineStr">
        <is>
          <t>The monthly depreciation entry</t>
        </is>
      </c>
    </row>
    <row r="2">
      <c r="A2" s="2" t="inlineStr">
        <is>
          <t>Straight-line, from the Schedules sheet. Post it at every month-end close.</t>
        </is>
      </c>
    </row>
    <row r="4">
      <c r="A4" s="12" t="inlineStr">
        <is>
          <t>Account</t>
        </is>
      </c>
      <c r="B4" s="13" t="inlineStr">
        <is>
          <t>Debit</t>
        </is>
      </c>
      <c r="C4" s="13" t="inlineStr">
        <is>
          <t>Credit</t>
        </is>
      </c>
    </row>
    <row r="5">
      <c r="A5" s="6" t="inlineStr">
        <is>
          <t>Depreciation expense</t>
        </is>
      </c>
      <c r="B5" s="15">
        <f>ROUND(Schedules!C12/12,2)</f>
        <v/>
      </c>
    </row>
    <row r="6">
      <c r="A6" s="6">
        <f>"Accumulated depreciation, "&amp;Schedules!B4</f>
        <v/>
      </c>
      <c r="C6" s="15">
        <f>B5</f>
        <v/>
      </c>
    </row>
    <row r="8">
      <c r="A8" s="6" t="inlineStr">
        <is>
          <t>Accumulated depreciation is a contra-asset: it sits under the asset on the balance sheet and reduces its book value.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3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  <col width="11" customWidth="1" min="5" max="5"/>
    <col width="16" customWidth="1" min="6" max="6"/>
    <col width="12" customWidth="1" min="7" max="7"/>
    <col width="18" customWidth="1" min="8" max="8"/>
    <col width="13" customWidth="1" min="9" max="9"/>
  </cols>
  <sheetData>
    <row r="1">
      <c r="A1" s="1" t="inlineStr">
        <is>
          <t>Fixed asset register (straight-line)</t>
        </is>
      </c>
    </row>
    <row r="2">
      <c r="A2" s="2" t="inlineStr">
        <is>
          <t>One row per asset. Depreciation runs monthly from the month the asset is first used.</t>
        </is>
      </c>
    </row>
    <row r="3">
      <c r="A3" s="4" t="inlineStr">
        <is>
          <t>Report date</t>
        </is>
      </c>
      <c r="B3" s="17" t="n">
        <v>46387</v>
      </c>
    </row>
    <row r="5">
      <c r="A5" s="12" t="inlineStr">
        <is>
          <t>Asset</t>
        </is>
      </c>
      <c r="B5" s="13" t="inlineStr">
        <is>
          <t>In use from</t>
        </is>
      </c>
      <c r="C5" s="13" t="inlineStr">
        <is>
          <t>Cost</t>
        </is>
      </c>
      <c r="D5" s="13" t="inlineStr">
        <is>
          <t>Salvage value</t>
        </is>
      </c>
      <c r="E5" s="13" t="inlineStr">
        <is>
          <t>Life (years)</t>
        </is>
      </c>
      <c r="F5" s="13" t="inlineStr">
        <is>
          <t>Monthly depreciation</t>
        </is>
      </c>
      <c r="G5" s="13" t="inlineStr">
        <is>
          <t>Months used</t>
        </is>
      </c>
      <c r="H5" s="13" t="inlineStr">
        <is>
          <t>Accumulated depreciation</t>
        </is>
      </c>
      <c r="I5" s="13" t="inlineStr">
        <is>
          <t>Book value</t>
        </is>
      </c>
    </row>
    <row r="6">
      <c r="A6" s="7" t="inlineStr">
        <is>
          <t>Laptop</t>
        </is>
      </c>
      <c r="B6" s="17" t="n">
        <v>45839</v>
      </c>
      <c r="C6" s="8" t="n">
        <v>1800</v>
      </c>
      <c r="D6" s="8" t="n">
        <v>0</v>
      </c>
      <c r="E6" s="9" t="n">
        <v>3</v>
      </c>
      <c r="F6" s="15">
        <f>IF(A6="","",(C6-D6)/(E6*12))</f>
        <v/>
      </c>
      <c r="G6" s="14">
        <f>IF(A6="","",MIN(E6*12,MAX(0,(YEAR($B$3)-YEAR(B6))*12+MONTH($B$3)-MONTH(B6)+1)))</f>
        <v/>
      </c>
      <c r="H6" s="15">
        <f>IF(A6="","",ROUND(F6*G6,2))</f>
        <v/>
      </c>
      <c r="I6" s="15">
        <f>IF(A6="","",C6-H6)</f>
        <v/>
      </c>
    </row>
    <row r="7">
      <c r="A7" s="7" t="inlineStr">
        <is>
          <t>Office furniture</t>
        </is>
      </c>
      <c r="B7" s="17" t="n">
        <v>45292</v>
      </c>
      <c r="C7" s="8" t="n">
        <v>6500</v>
      </c>
      <c r="D7" s="8" t="n">
        <v>500</v>
      </c>
      <c r="E7" s="9" t="n">
        <v>7</v>
      </c>
      <c r="F7" s="15">
        <f>IF(A7="","",(C7-D7)/(E7*12))</f>
        <v/>
      </c>
      <c r="G7" s="14">
        <f>IF(A7="","",MIN(E7*12,MAX(0,(YEAR($B$3)-YEAR(B7))*12+MONTH($B$3)-MONTH(B7)+1)))</f>
        <v/>
      </c>
      <c r="H7" s="15">
        <f>IF(A7="","",ROUND(F7*G7,2))</f>
        <v/>
      </c>
      <c r="I7" s="15">
        <f>IF(A7="","",C7-H7)</f>
        <v/>
      </c>
    </row>
    <row r="8">
      <c r="A8" s="7" t="inlineStr">
        <is>
          <t>Delivery van</t>
        </is>
      </c>
      <c r="B8" s="17" t="n">
        <v>46113</v>
      </c>
      <c r="C8" s="8" t="n">
        <v>36000</v>
      </c>
      <c r="D8" s="8" t="n">
        <v>6000</v>
      </c>
      <c r="E8" s="9" t="n">
        <v>5</v>
      </c>
      <c r="F8" s="15">
        <f>IF(A8="","",(C8-D8)/(E8*12))</f>
        <v/>
      </c>
      <c r="G8" s="14">
        <f>IF(A8="","",MIN(E8*12,MAX(0,(YEAR($B$3)-YEAR(B8))*12+MONTH($B$3)-MONTH(B8)+1)))</f>
        <v/>
      </c>
      <c r="H8" s="15">
        <f>IF(A8="","",ROUND(F8*G8,2))</f>
        <v/>
      </c>
      <c r="I8" s="15">
        <f>IF(A8="","",C8-H8)</f>
        <v/>
      </c>
    </row>
    <row r="9">
      <c r="A9" s="7" t="inlineStr">
        <is>
          <t>Production equipment</t>
        </is>
      </c>
      <c r="B9" s="17" t="n">
        <v>45200</v>
      </c>
      <c r="C9" s="8" t="n">
        <v>50000</v>
      </c>
      <c r="D9" s="8" t="n">
        <v>5000</v>
      </c>
      <c r="E9" s="9" t="n">
        <v>5</v>
      </c>
      <c r="F9" s="15">
        <f>IF(A9="","",(C9-D9)/(E9*12))</f>
        <v/>
      </c>
      <c r="G9" s="14">
        <f>IF(A9="","",MIN(E9*12,MAX(0,(YEAR($B$3)-YEAR(B9))*12+MONTH($B$3)-MONTH(B9)+1)))</f>
        <v/>
      </c>
      <c r="H9" s="15">
        <f>IF(A9="","",ROUND(F9*G9,2))</f>
        <v/>
      </c>
      <c r="I9" s="15">
        <f>IF(A9="","",C9-H9)</f>
        <v/>
      </c>
    </row>
    <row r="10">
      <c r="A10" s="7" t="n"/>
      <c r="B10" s="17" t="n"/>
      <c r="C10" s="8" t="n"/>
      <c r="D10" s="8" t="n"/>
      <c r="E10" s="9" t="n"/>
      <c r="F10" s="15">
        <f>IF(A10="","",(C10-D10)/(E10*12))</f>
        <v/>
      </c>
      <c r="G10" s="14">
        <f>IF(A10="","",MIN(E10*12,MAX(0,(YEAR($B$3)-YEAR(B10))*12+MONTH($B$3)-MONTH(B10)+1)))</f>
        <v/>
      </c>
      <c r="H10" s="15">
        <f>IF(A10="","",ROUND(F10*G10,2))</f>
        <v/>
      </c>
      <c r="I10" s="15">
        <f>IF(A10="","",C10-H10)</f>
        <v/>
      </c>
    </row>
    <row r="11">
      <c r="A11" s="7" t="n"/>
      <c r="B11" s="17" t="n"/>
      <c r="C11" s="8" t="n"/>
      <c r="D11" s="8" t="n"/>
      <c r="E11" s="9" t="n"/>
      <c r="F11" s="15">
        <f>IF(A11="","",(C11-D11)/(E11*12))</f>
        <v/>
      </c>
      <c r="G11" s="14">
        <f>IF(A11="","",MIN(E11*12,MAX(0,(YEAR($B$3)-YEAR(B11))*12+MONTH($B$3)-MONTH(B11)+1)))</f>
        <v/>
      </c>
      <c r="H11" s="15">
        <f>IF(A11="","",ROUND(F11*G11,2))</f>
        <v/>
      </c>
      <c r="I11" s="15">
        <f>IF(A11="","",C11-H11)</f>
        <v/>
      </c>
    </row>
    <row r="12">
      <c r="A12" s="7" t="n"/>
      <c r="B12" s="17" t="n"/>
      <c r="C12" s="8" t="n"/>
      <c r="D12" s="8" t="n"/>
      <c r="E12" s="9" t="n"/>
      <c r="F12" s="15">
        <f>IF(A12="","",(C12-D12)/(E12*12))</f>
        <v/>
      </c>
      <c r="G12" s="14">
        <f>IF(A12="","",MIN(E12*12,MAX(0,(YEAR($B$3)-YEAR(B12))*12+MONTH($B$3)-MONTH(B12)+1)))</f>
        <v/>
      </c>
      <c r="H12" s="15">
        <f>IF(A12="","",ROUND(F12*G12,2))</f>
        <v/>
      </c>
      <c r="I12" s="15">
        <f>IF(A12="","",C12-H12)</f>
        <v/>
      </c>
    </row>
    <row r="13">
      <c r="A13" s="7" t="n"/>
      <c r="B13" s="17" t="n"/>
      <c r="C13" s="8" t="n"/>
      <c r="D13" s="8" t="n"/>
      <c r="E13" s="9" t="n"/>
      <c r="F13" s="15">
        <f>IF(A13="","",(C13-D13)/(E13*12))</f>
        <v/>
      </c>
      <c r="G13" s="14">
        <f>IF(A13="","",MIN(E13*12,MAX(0,(YEAR($B$3)-YEAR(B13))*12+MONTH($B$3)-MONTH(B13)+1)))</f>
        <v/>
      </c>
      <c r="H13" s="15">
        <f>IF(A13="","",ROUND(F13*G13,2))</f>
        <v/>
      </c>
      <c r="I13" s="15">
        <f>IF(A13="","",C13-H13)</f>
        <v/>
      </c>
    </row>
    <row r="14">
      <c r="A14" s="7" t="n"/>
      <c r="B14" s="17" t="n"/>
      <c r="C14" s="8" t="n"/>
      <c r="D14" s="8" t="n"/>
      <c r="E14" s="9" t="n"/>
      <c r="F14" s="15">
        <f>IF(A14="","",(C14-D14)/(E14*12))</f>
        <v/>
      </c>
      <c r="G14" s="14">
        <f>IF(A14="","",MIN(E14*12,MAX(0,(YEAR($B$3)-YEAR(B14))*12+MONTH($B$3)-MONTH(B14)+1)))</f>
        <v/>
      </c>
      <c r="H14" s="15">
        <f>IF(A14="","",ROUND(F14*G14,2))</f>
        <v/>
      </c>
      <c r="I14" s="15">
        <f>IF(A14="","",C14-H14)</f>
        <v/>
      </c>
    </row>
    <row r="15">
      <c r="A15" s="7" t="n"/>
      <c r="B15" s="17" t="n"/>
      <c r="C15" s="8" t="n"/>
      <c r="D15" s="8" t="n"/>
      <c r="E15" s="9" t="n"/>
      <c r="F15" s="15">
        <f>IF(A15="","",(C15-D15)/(E15*12))</f>
        <v/>
      </c>
      <c r="G15" s="14">
        <f>IF(A15="","",MIN(E15*12,MAX(0,(YEAR($B$3)-YEAR(B15))*12+MONTH($B$3)-MONTH(B15)+1)))</f>
        <v/>
      </c>
      <c r="H15" s="15">
        <f>IF(A15="","",ROUND(F15*G15,2))</f>
        <v/>
      </c>
      <c r="I15" s="15">
        <f>IF(A15="","",C15-H15)</f>
        <v/>
      </c>
    </row>
    <row r="16">
      <c r="A16" s="7" t="n"/>
      <c r="B16" s="17" t="n"/>
      <c r="C16" s="8" t="n"/>
      <c r="D16" s="8" t="n"/>
      <c r="E16" s="9" t="n"/>
      <c r="F16" s="15">
        <f>IF(A16="","",(C16-D16)/(E16*12))</f>
        <v/>
      </c>
      <c r="G16" s="14">
        <f>IF(A16="","",MIN(E16*12,MAX(0,(YEAR($B$3)-YEAR(B16))*12+MONTH($B$3)-MONTH(B16)+1)))</f>
        <v/>
      </c>
      <c r="H16" s="15">
        <f>IF(A16="","",ROUND(F16*G16,2))</f>
        <v/>
      </c>
      <c r="I16" s="15">
        <f>IF(A16="","",C16-H16)</f>
        <v/>
      </c>
    </row>
    <row r="17">
      <c r="A17" s="7" t="n"/>
      <c r="B17" s="17" t="n"/>
      <c r="C17" s="8" t="n"/>
      <c r="D17" s="8" t="n"/>
      <c r="E17" s="9" t="n"/>
      <c r="F17" s="15">
        <f>IF(A17="","",(C17-D17)/(E17*12))</f>
        <v/>
      </c>
      <c r="G17" s="14">
        <f>IF(A17="","",MIN(E17*12,MAX(0,(YEAR($B$3)-YEAR(B17))*12+MONTH($B$3)-MONTH(B17)+1)))</f>
        <v/>
      </c>
      <c r="H17" s="15">
        <f>IF(A17="","",ROUND(F17*G17,2))</f>
        <v/>
      </c>
      <c r="I17" s="15">
        <f>IF(A17="","",C17-H17)</f>
        <v/>
      </c>
    </row>
    <row r="18">
      <c r="A18" s="7" t="n"/>
      <c r="B18" s="17" t="n"/>
      <c r="C18" s="8" t="n"/>
      <c r="D18" s="8" t="n"/>
      <c r="E18" s="9" t="n"/>
      <c r="F18" s="15">
        <f>IF(A18="","",(C18-D18)/(E18*12))</f>
        <v/>
      </c>
      <c r="G18" s="14">
        <f>IF(A18="","",MIN(E18*12,MAX(0,(YEAR($B$3)-YEAR(B18))*12+MONTH($B$3)-MONTH(B18)+1)))</f>
        <v/>
      </c>
      <c r="H18" s="15">
        <f>IF(A18="","",ROUND(F18*G18,2))</f>
        <v/>
      </c>
      <c r="I18" s="15">
        <f>IF(A18="","",C18-H18)</f>
        <v/>
      </c>
    </row>
    <row r="19">
      <c r="A19" s="7" t="n"/>
      <c r="B19" s="17" t="n"/>
      <c r="C19" s="8" t="n"/>
      <c r="D19" s="8" t="n"/>
      <c r="E19" s="9" t="n"/>
      <c r="F19" s="15">
        <f>IF(A19="","",(C19-D19)/(E19*12))</f>
        <v/>
      </c>
      <c r="G19" s="14">
        <f>IF(A19="","",MIN(E19*12,MAX(0,(YEAR($B$3)-YEAR(B19))*12+MONTH($B$3)-MONTH(B19)+1)))</f>
        <v/>
      </c>
      <c r="H19" s="15">
        <f>IF(A19="","",ROUND(F19*G19,2))</f>
        <v/>
      </c>
      <c r="I19" s="15">
        <f>IF(A19="","",C19-H19)</f>
        <v/>
      </c>
    </row>
    <row r="20">
      <c r="A20" s="7" t="n"/>
      <c r="B20" s="17" t="n"/>
      <c r="C20" s="8" t="n"/>
      <c r="D20" s="8" t="n"/>
      <c r="E20" s="9" t="n"/>
      <c r="F20" s="15">
        <f>IF(A20="","",(C20-D20)/(E20*12))</f>
        <v/>
      </c>
      <c r="G20" s="14">
        <f>IF(A20="","",MIN(E20*12,MAX(0,(YEAR($B$3)-YEAR(B20))*12+MONTH($B$3)-MONTH(B20)+1)))</f>
        <v/>
      </c>
      <c r="H20" s="15">
        <f>IF(A20="","",ROUND(F20*G20,2))</f>
        <v/>
      </c>
      <c r="I20" s="15">
        <f>IF(A20="","",C20-H20)</f>
        <v/>
      </c>
    </row>
    <row r="21">
      <c r="A21" s="7" t="n"/>
      <c r="B21" s="17" t="n"/>
      <c r="C21" s="8" t="n"/>
      <c r="D21" s="8" t="n"/>
      <c r="E21" s="9" t="n"/>
      <c r="F21" s="15">
        <f>IF(A21="","",(C21-D21)/(E21*12))</f>
        <v/>
      </c>
      <c r="G21" s="14">
        <f>IF(A21="","",MIN(E21*12,MAX(0,(YEAR($B$3)-YEAR(B21))*12+MONTH($B$3)-MONTH(B21)+1)))</f>
        <v/>
      </c>
      <c r="H21" s="15">
        <f>IF(A21="","",ROUND(F21*G21,2))</f>
        <v/>
      </c>
      <c r="I21" s="15">
        <f>IF(A21="","",C21-H21)</f>
        <v/>
      </c>
    </row>
    <row r="22">
      <c r="A22" s="7" t="n"/>
      <c r="B22" s="17" t="n"/>
      <c r="C22" s="8" t="n"/>
      <c r="D22" s="8" t="n"/>
      <c r="E22" s="9" t="n"/>
      <c r="F22" s="15">
        <f>IF(A22="","",(C22-D22)/(E22*12))</f>
        <v/>
      </c>
      <c r="G22" s="14">
        <f>IF(A22="","",MIN(E22*12,MAX(0,(YEAR($B$3)-YEAR(B22))*12+MONTH($B$3)-MONTH(B22)+1)))</f>
        <v/>
      </c>
      <c r="H22" s="15">
        <f>IF(A22="","",ROUND(F22*G22,2))</f>
        <v/>
      </c>
      <c r="I22" s="15">
        <f>IF(A22="","",C22-H22)</f>
        <v/>
      </c>
    </row>
    <row r="23">
      <c r="A23" s="7" t="n"/>
      <c r="B23" s="17" t="n"/>
      <c r="C23" s="8" t="n"/>
      <c r="D23" s="8" t="n"/>
      <c r="E23" s="9" t="n"/>
      <c r="F23" s="15">
        <f>IF(A23="","",(C23-D23)/(E23*12))</f>
        <v/>
      </c>
      <c r="G23" s="14">
        <f>IF(A23="","",MIN(E23*12,MAX(0,(YEAR($B$3)-YEAR(B23))*12+MONTH($B$3)-MONTH(B23)+1)))</f>
        <v/>
      </c>
      <c r="H23" s="15">
        <f>IF(A23="","",ROUND(F23*G23,2))</f>
        <v/>
      </c>
      <c r="I23" s="15">
        <f>IF(A23="","",C23-H23)</f>
        <v/>
      </c>
    </row>
    <row r="24">
      <c r="A24" s="7" t="n"/>
      <c r="B24" s="17" t="n"/>
      <c r="C24" s="8" t="n"/>
      <c r="D24" s="8" t="n"/>
      <c r="E24" s="9" t="n"/>
      <c r="F24" s="15">
        <f>IF(A24="","",(C24-D24)/(E24*12))</f>
        <v/>
      </c>
      <c r="G24" s="14">
        <f>IF(A24="","",MIN(E24*12,MAX(0,(YEAR($B$3)-YEAR(B24))*12+MONTH($B$3)-MONTH(B24)+1)))</f>
        <v/>
      </c>
      <c r="H24" s="15">
        <f>IF(A24="","",ROUND(F24*G24,2))</f>
        <v/>
      </c>
      <c r="I24" s="15">
        <f>IF(A24="","",C24-H24)</f>
        <v/>
      </c>
    </row>
    <row r="25">
      <c r="A25" s="7" t="n"/>
      <c r="B25" s="17" t="n"/>
      <c r="C25" s="8" t="n"/>
      <c r="D25" s="8" t="n"/>
      <c r="E25" s="9" t="n"/>
      <c r="F25" s="15">
        <f>IF(A25="","",(C25-D25)/(E25*12))</f>
        <v/>
      </c>
      <c r="G25" s="14">
        <f>IF(A25="","",MIN(E25*12,MAX(0,(YEAR($B$3)-YEAR(B25))*12+MONTH($B$3)-MONTH(B25)+1)))</f>
        <v/>
      </c>
      <c r="H25" s="15">
        <f>IF(A25="","",ROUND(F25*G25,2))</f>
        <v/>
      </c>
      <c r="I25" s="15">
        <f>IF(A25="","",C25-H25)</f>
        <v/>
      </c>
    </row>
    <row r="26">
      <c r="A26" s="7" t="n"/>
      <c r="B26" s="17" t="n"/>
      <c r="C26" s="8" t="n"/>
      <c r="D26" s="8" t="n"/>
      <c r="E26" s="9" t="n"/>
      <c r="F26" s="15">
        <f>IF(A26="","",(C26-D26)/(E26*12))</f>
        <v/>
      </c>
      <c r="G26" s="14">
        <f>IF(A26="","",MIN(E26*12,MAX(0,(YEAR($B$3)-YEAR(B26))*12+MONTH($B$3)-MONTH(B26)+1)))</f>
        <v/>
      </c>
      <c r="H26" s="15">
        <f>IF(A26="","",ROUND(F26*G26,2))</f>
        <v/>
      </c>
      <c r="I26" s="15">
        <f>IF(A26="","",C26-H26)</f>
        <v/>
      </c>
    </row>
    <row r="27">
      <c r="A27" s="7" t="n"/>
      <c r="B27" s="17" t="n"/>
      <c r="C27" s="8" t="n"/>
      <c r="D27" s="8" t="n"/>
      <c r="E27" s="9" t="n"/>
      <c r="F27" s="15">
        <f>IF(A27="","",(C27-D27)/(E27*12))</f>
        <v/>
      </c>
      <c r="G27" s="14">
        <f>IF(A27="","",MIN(E27*12,MAX(0,(YEAR($B$3)-YEAR(B27))*12+MONTH($B$3)-MONTH(B27)+1)))</f>
        <v/>
      </c>
      <c r="H27" s="15">
        <f>IF(A27="","",ROUND(F27*G27,2))</f>
        <v/>
      </c>
      <c r="I27" s="15">
        <f>IF(A27="","",C27-H27)</f>
        <v/>
      </c>
    </row>
    <row r="28">
      <c r="A28" s="7" t="n"/>
      <c r="B28" s="17" t="n"/>
      <c r="C28" s="8" t="n"/>
      <c r="D28" s="8" t="n"/>
      <c r="E28" s="9" t="n"/>
      <c r="F28" s="15">
        <f>IF(A28="","",(C28-D28)/(E28*12))</f>
        <v/>
      </c>
      <c r="G28" s="14">
        <f>IF(A28="","",MIN(E28*12,MAX(0,(YEAR($B$3)-YEAR(B28))*12+MONTH($B$3)-MONTH(B28)+1)))</f>
        <v/>
      </c>
      <c r="H28" s="15">
        <f>IF(A28="","",ROUND(F28*G28,2))</f>
        <v/>
      </c>
      <c r="I28" s="15">
        <f>IF(A28="","",C28-H28)</f>
        <v/>
      </c>
    </row>
    <row r="29">
      <c r="A29" s="7" t="n"/>
      <c r="B29" s="17" t="n"/>
      <c r="C29" s="8" t="n"/>
      <c r="D29" s="8" t="n"/>
      <c r="E29" s="9" t="n"/>
      <c r="F29" s="15">
        <f>IF(A29="","",(C29-D29)/(E29*12))</f>
        <v/>
      </c>
      <c r="G29" s="14">
        <f>IF(A29="","",MIN(E29*12,MAX(0,(YEAR($B$3)-YEAR(B29))*12+MONTH($B$3)-MONTH(B29)+1)))</f>
        <v/>
      </c>
      <c r="H29" s="15">
        <f>IF(A29="","",ROUND(F29*G29,2))</f>
        <v/>
      </c>
      <c r="I29" s="15">
        <f>IF(A29="","",C29-H29)</f>
        <v/>
      </c>
    </row>
    <row r="30">
      <c r="A30" s="7" t="n"/>
      <c r="B30" s="17" t="n"/>
      <c r="C30" s="8" t="n"/>
      <c r="D30" s="8" t="n"/>
      <c r="E30" s="9" t="n"/>
      <c r="F30" s="15">
        <f>IF(A30="","",(C30-D30)/(E30*12))</f>
        <v/>
      </c>
      <c r="G30" s="14">
        <f>IF(A30="","",MIN(E30*12,MAX(0,(YEAR($B$3)-YEAR(B30))*12+MONTH($B$3)-MONTH(B30)+1)))</f>
        <v/>
      </c>
      <c r="H30" s="15">
        <f>IF(A30="","",ROUND(F30*G30,2))</f>
        <v/>
      </c>
      <c r="I30" s="15">
        <f>IF(A30="","",C30-H30)</f>
        <v/>
      </c>
    </row>
    <row r="31">
      <c r="A31" s="7" t="n"/>
      <c r="B31" s="17" t="n"/>
      <c r="C31" s="8" t="n"/>
      <c r="D31" s="8" t="n"/>
      <c r="E31" s="9" t="n"/>
      <c r="F31" s="15">
        <f>IF(A31="","",(C31-D31)/(E31*12))</f>
        <v/>
      </c>
      <c r="G31" s="14">
        <f>IF(A31="","",MIN(E31*12,MAX(0,(YEAR($B$3)-YEAR(B31))*12+MONTH($B$3)-MONTH(B31)+1)))</f>
        <v/>
      </c>
      <c r="H31" s="15">
        <f>IF(A31="","",ROUND(F31*G31,2))</f>
        <v/>
      </c>
      <c r="I31" s="15">
        <f>IF(A31="","",C31-H31)</f>
        <v/>
      </c>
    </row>
    <row r="32">
      <c r="A32" s="7" t="n"/>
      <c r="B32" s="17" t="n"/>
      <c r="C32" s="8" t="n"/>
      <c r="D32" s="8" t="n"/>
      <c r="E32" s="9" t="n"/>
      <c r="F32" s="15">
        <f>IF(A32="","",(C32-D32)/(E32*12))</f>
        <v/>
      </c>
      <c r="G32" s="14">
        <f>IF(A32="","",MIN(E32*12,MAX(0,(YEAR($B$3)-YEAR(B32))*12+MONTH($B$3)-MONTH(B32)+1)))</f>
        <v/>
      </c>
      <c r="H32" s="15">
        <f>IF(A32="","",ROUND(F32*G32,2))</f>
        <v/>
      </c>
      <c r="I32" s="15">
        <f>IF(A32="","",C32-H32)</f>
        <v/>
      </c>
    </row>
    <row r="33">
      <c r="A33" s="7" t="n"/>
      <c r="B33" s="17" t="n"/>
      <c r="C33" s="8" t="n"/>
      <c r="D33" s="8" t="n"/>
      <c r="E33" s="9" t="n"/>
      <c r="F33" s="15">
        <f>IF(A33="","",(C33-D33)/(E33*12))</f>
        <v/>
      </c>
      <c r="G33" s="14">
        <f>IF(A33="","",MIN(E33*12,MAX(0,(YEAR($B$3)-YEAR(B33))*12+MONTH($B$3)-MONTH(B33)+1)))</f>
        <v/>
      </c>
      <c r="H33" s="15">
        <f>IF(A33="","",ROUND(F33*G33,2))</f>
        <v/>
      </c>
      <c r="I33" s="15">
        <f>IF(A33="","",C33-H33)</f>
        <v/>
      </c>
    </row>
    <row r="34">
      <c r="A34" s="7" t="n"/>
      <c r="B34" s="17" t="n"/>
      <c r="C34" s="8" t="n"/>
      <c r="D34" s="8" t="n"/>
      <c r="E34" s="9" t="n"/>
      <c r="F34" s="15">
        <f>IF(A34="","",(C34-D34)/(E34*12))</f>
        <v/>
      </c>
      <c r="G34" s="14">
        <f>IF(A34="","",MIN(E34*12,MAX(0,(YEAR($B$3)-YEAR(B34))*12+MONTH($B$3)-MONTH(B34)+1)))</f>
        <v/>
      </c>
      <c r="H34" s="15">
        <f>IF(A34="","",ROUND(F34*G34,2))</f>
        <v/>
      </c>
      <c r="I34" s="15">
        <f>IF(A34="","",C34-H34)</f>
        <v/>
      </c>
    </row>
    <row r="35">
      <c r="A35" s="7" t="n"/>
      <c r="B35" s="17" t="n"/>
      <c r="C35" s="8" t="n"/>
      <c r="D35" s="8" t="n"/>
      <c r="E35" s="9" t="n"/>
      <c r="F35" s="15">
        <f>IF(A35="","",(C35-D35)/(E35*12))</f>
        <v/>
      </c>
      <c r="G35" s="14">
        <f>IF(A35="","",MIN(E35*12,MAX(0,(YEAR($B$3)-YEAR(B35))*12+MONTH($B$3)-MONTH(B35)+1)))</f>
        <v/>
      </c>
      <c r="H35" s="15">
        <f>IF(A35="","",ROUND(F35*G35,2))</f>
        <v/>
      </c>
      <c r="I35" s="15">
        <f>IF(A35="","",C35-H35)</f>
        <v/>
      </c>
    </row>
    <row r="36">
      <c r="A36" s="4" t="inlineStr">
        <is>
          <t>Total</t>
        </is>
      </c>
      <c r="C36" s="16">
        <f>SUM(C6:C35)</f>
        <v/>
      </c>
      <c r="H36" s="16">
        <f>SUM(H6:H35)</f>
        <v/>
      </c>
      <c r="I36" s="16">
        <f>SUM(I6:I35)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2026-09-16T17:58:46Z</dcterms:created>
  <dcterms:modified xsi:type="dcterms:W3CDTF">2026-09-16T17:58:46Z</dcterms:modified>
</cp:coreProperties>
</file>